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8475" windowHeight="6165" activeTab="3"/>
  </bookViews>
  <sheets>
    <sheet name="ไตรมาสที่  1" sheetId="1" r:id="rId1"/>
    <sheet name="ไตรมาสที่ 2" sheetId="2" r:id="rId2"/>
    <sheet name="ไตรมาสที่ 3" sheetId="4" r:id="rId3"/>
    <sheet name="ไตรมาสที่ 4" sheetId="3" r:id="rId4"/>
  </sheets>
  <calcPr calcId="124519"/>
</workbook>
</file>

<file path=xl/calcChain.xml><?xml version="1.0" encoding="utf-8"?>
<calcChain xmlns="http://schemas.openxmlformats.org/spreadsheetml/2006/main">
  <c r="E17" i="3"/>
  <c r="D17"/>
  <c r="D15"/>
  <c r="D14"/>
  <c r="F13"/>
  <c r="D13"/>
  <c r="F12"/>
  <c r="E12"/>
  <c r="D12"/>
  <c r="F11"/>
  <c r="E11"/>
  <c r="D11"/>
  <c r="D9"/>
  <c r="D8"/>
  <c r="F13" i="4"/>
  <c r="D13"/>
  <c r="F12"/>
  <c r="E12"/>
  <c r="D12"/>
  <c r="F11"/>
  <c r="C11"/>
  <c r="E11"/>
  <c r="D11"/>
  <c r="D9"/>
  <c r="D8"/>
  <c r="E16" i="2"/>
  <c r="D16"/>
  <c r="F13"/>
  <c r="F18"/>
  <c r="E13"/>
  <c r="D13"/>
  <c r="F12"/>
  <c r="E12"/>
  <c r="D12"/>
  <c r="F11"/>
  <c r="E11"/>
  <c r="D11"/>
  <c r="D10"/>
  <c r="D9"/>
  <c r="D8"/>
  <c r="E16" i="1"/>
  <c r="F13"/>
  <c r="E13"/>
  <c r="D13"/>
  <c r="F12"/>
  <c r="E12"/>
  <c r="D12"/>
  <c r="F11"/>
  <c r="E11"/>
  <c r="D11"/>
  <c r="D10"/>
  <c r="D9"/>
  <c r="D8"/>
  <c r="F17" i="3"/>
  <c r="E13"/>
  <c r="E13" i="4"/>
  <c r="C7" i="1"/>
  <c r="D18" i="3"/>
  <c r="E18"/>
  <c r="C10" i="1"/>
  <c r="C12" i="4"/>
  <c r="C15" i="3"/>
  <c r="B40" i="2"/>
  <c r="B38"/>
  <c r="B37"/>
  <c r="B35"/>
  <c r="B34"/>
  <c r="B33"/>
  <c r="C33" i="4"/>
  <c r="B34"/>
  <c r="B33"/>
  <c r="B36" i="1"/>
  <c r="B35"/>
  <c r="G20" i="4"/>
  <c r="G20" i="2"/>
  <c r="G26" i="1"/>
  <c r="C10" i="3"/>
  <c r="C8"/>
  <c r="C9"/>
  <c r="C11"/>
  <c r="C12"/>
  <c r="C14"/>
  <c r="C7"/>
  <c r="C16"/>
  <c r="C17"/>
  <c r="C14" i="4"/>
  <c r="C13"/>
  <c r="C8"/>
  <c r="C10"/>
  <c r="C9"/>
  <c r="C15"/>
  <c r="C17"/>
  <c r="C7"/>
  <c r="E18"/>
  <c r="D18"/>
  <c r="C7" i="2"/>
  <c r="C8"/>
  <c r="C9"/>
  <c r="C10"/>
  <c r="C11"/>
  <c r="C12"/>
  <c r="C14"/>
  <c r="C15"/>
  <c r="C16"/>
  <c r="C17"/>
  <c r="D18"/>
  <c r="C17" i="1"/>
  <c r="C15"/>
  <c r="C14"/>
  <c r="C11"/>
  <c r="C9"/>
  <c r="C8"/>
  <c r="E18" i="2"/>
  <c r="C16" i="1"/>
  <c r="C12"/>
  <c r="C16" i="4"/>
  <c r="C13" i="1"/>
  <c r="F18"/>
  <c r="E18"/>
  <c r="D18"/>
  <c r="F18" i="3"/>
  <c r="C13"/>
  <c r="C18"/>
  <c r="C18" i="4"/>
  <c r="F18"/>
  <c r="C13" i="2"/>
  <c r="C18"/>
  <c r="C18" i="1"/>
</calcChain>
</file>

<file path=xl/sharedStrings.xml><?xml version="1.0" encoding="utf-8"?>
<sst xmlns="http://schemas.openxmlformats.org/spreadsheetml/2006/main" count="136" uniqueCount="51">
  <si>
    <t>เทศบาลตำบลไม้เรียง</t>
  </si>
  <si>
    <t>แผนการใช้จ่ายเงินรวม</t>
  </si>
  <si>
    <t>ลำดับที่</t>
  </si>
  <si>
    <t>รายการ</t>
  </si>
  <si>
    <t>รวม</t>
  </si>
  <si>
    <t>ตุลาคม</t>
  </si>
  <si>
    <t>พฤศจิกายน</t>
  </si>
  <si>
    <t>ธันวาคม</t>
  </si>
  <si>
    <t>ประมาณการค่าใช้จ่าย</t>
  </si>
  <si>
    <t>รายจ่ายงบกลาง</t>
  </si>
  <si>
    <t>เงินเดือน</t>
  </si>
  <si>
    <t>ค่าจ้างประจำ</t>
  </si>
  <si>
    <t>ค่าจ้างชั่วคราว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</si>
  <si>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</si>
  <si>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</si>
  <si>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</si>
  <si>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</si>
  <si>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</si>
  <si>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</si>
  <si>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ค่าที่ดินและสิ่งก่อสร้าง</t>
  </si>
  <si>
    <t>หมายเหตุ</t>
  </si>
  <si>
    <t>................................................................................................................................................................</t>
  </si>
  <si>
    <t>เมษายน</t>
  </si>
  <si>
    <t>พฤษภาคม</t>
  </si>
  <si>
    <t>มิถุนายน</t>
  </si>
  <si>
    <t>มกราคม</t>
  </si>
  <si>
    <t>มีนาคม</t>
  </si>
  <si>
    <t>...................................................................................................................................................................................................</t>
  </si>
  <si>
    <t>ลงชื่อ                                  ผู้รายงาน</t>
  </si>
  <si>
    <t>กรกฏาคม</t>
  </si>
  <si>
    <t>สิงหาคม</t>
  </si>
  <si>
    <t>กันยายน</t>
  </si>
  <si>
    <t>กุมภาพันธ์</t>
  </si>
  <si>
    <t xml:space="preserve">            (ประยูรศักดิ์  ลิ่มพาณิชย์)</t>
  </si>
  <si>
    <t xml:space="preserve">    ว่าที่ ร.ต.                          หัวหน้าหน่วยงาน</t>
  </si>
  <si>
    <t xml:space="preserve">             (ประยูรศักดิ์  ลิ่มพาณิชย์)</t>
  </si>
  <si>
    <t xml:space="preserve"> </t>
  </si>
  <si>
    <t xml:space="preserve">              ผู้อำนวยการกองคลัง</t>
  </si>
  <si>
    <t xml:space="preserve">             ปลัดเทศบาลตำบลไม้เรียง</t>
  </si>
  <si>
    <t>(นางอโนมา  ละม่อม)</t>
  </si>
  <si>
    <t xml:space="preserve">    ลงชื่อ                                  ผู้รายงาน</t>
  </si>
  <si>
    <t xml:space="preserve">               (นางอโนมา  ละม่อม)</t>
  </si>
  <si>
    <t xml:space="preserve">                ผู้อำนวยการกองคลัง</t>
  </si>
  <si>
    <t xml:space="preserve">  ลงชื่อ                                  ผู้รายงาน</t>
  </si>
  <si>
    <t xml:space="preserve">              (นางอโนมา  ละม่อม)</t>
  </si>
  <si>
    <t xml:space="preserve">   หัวหน้าฝ่ายบริหารงานคลัง รักษาราชการแทน</t>
  </si>
  <si>
    <t>งบประมาณรายจ่าย  ประจำปี  พ.ศ.2563</t>
  </si>
  <si>
    <t>ไตรมาสที่  1  ตั้งแต่เดือน  ตุลาคม  2562  ถึงเดือน  ธันวาคม  2562</t>
  </si>
  <si>
    <t>ไตรมาสที่  2  ตั้งแต่เดือน  มกราคม  2563  ถึงเดือน  มีนาคม  2563</t>
  </si>
  <si>
    <t>ไตรมาสที่  3  ตั้งแต่เดือน  เมษายน  2563  ถึงเดือน  มิถุนายน  2563</t>
  </si>
  <si>
    <t>ไตรมาสที่  4  ตั้งแต่เดือน  กรกฎาคม  2563  ถึงเดือน  กันยายน  2563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</si>
</sst>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4" formatCode="_(* #,##0.00_);_(* \(#,##0.00\);_(* &quot;-&quot;??_);_(@_)"/>
  </numFmts>
  <fonts count="4">
    <font>
      <sz val="10"/>
      <name val="Arial"/>
    </font>
    <font>
      <sz val="10"/>
      <name val="Arial"/>
    </font>
    <font>
      <sz val="8"/>
      <name val="Arial"/>
    </font>
    <font>
      <b/>
      <sz val="16"/>
      <name val="DilleniaUPC"/>
      <family val="1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194" fontId="3" fillId="0" borderId="2" xfId="1" applyFont="1" applyBorder="1"/>
    <xf numFmtId="194" fontId="3" fillId="0" borderId="0" xfId="0" applyNumberFormat="1" applyFont="1"/>
    <xf numFmtId="194" fontId="3" fillId="0" borderId="2" xfId="1" applyFont="1" applyBorder="1" applyAlignment="1">
      <alignment horizontal="center"/>
    </xf>
    <xf numFmtId="4" fontId="3" fillId="0" borderId="2" xfId="1" applyNumberFormat="1" applyFont="1" applyBorder="1"/>
    <xf numFmtId="43" fontId="3" fillId="0" borderId="0" xfId="0" applyNumberFormat="1" applyFont="1"/>
    <xf numFmtId="194" fontId="3" fillId="0" borderId="0" xfId="1" applyFont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C12" sqref="C12"/>
    </sheetView>
  </sheetViews>
  <sheetFormatPr defaultRowHeight="23.25"/>
  <cols>
    <col min="1" max="1" width="6.85546875" style="3" customWidth="1"/>
    <col min="2" max="2" width="23.5703125" style="3" customWidth="1"/>
    <col min="3" max="3" width="15.7109375" style="3" customWidth="1"/>
    <col min="4" max="4" width="15.85546875" style="3" customWidth="1"/>
    <col min="5" max="5" width="16.42578125" style="3" customWidth="1"/>
    <col min="6" max="6" width="16.85546875" style="3" customWidth="1"/>
    <col min="7" max="7" width="14" style="3" customWidth="1"/>
    <col min="8" max="16384" width="9.140625" style="3"/>
  </cols>
  <sheetData>
    <row r="1" spans="1:7">
      <c r="A1" s="15" t="s">
        <v>0</v>
      </c>
      <c r="B1" s="15"/>
      <c r="C1" s="15"/>
      <c r="D1" s="15"/>
      <c r="E1" s="15"/>
      <c r="F1" s="15"/>
    </row>
    <row r="2" spans="1:7">
      <c r="A2" s="15" t="s">
        <v>1</v>
      </c>
      <c r="B2" s="15"/>
      <c r="C2" s="15"/>
      <c r="D2" s="15"/>
      <c r="E2" s="15"/>
      <c r="F2" s="15"/>
    </row>
    <row r="3" spans="1:7">
      <c r="A3" s="15" t="s">
        <v>46</v>
      </c>
      <c r="B3" s="15"/>
      <c r="C3" s="15"/>
      <c r="D3" s="15"/>
      <c r="E3" s="15"/>
      <c r="F3" s="15"/>
    </row>
    <row r="4" spans="1:7">
      <c r="A4" s="15" t="s">
        <v>47</v>
      </c>
      <c r="B4" s="15"/>
      <c r="C4" s="15"/>
      <c r="D4" s="15"/>
      <c r="E4" s="15"/>
      <c r="F4" s="15"/>
    </row>
    <row r="5" spans="1:7">
      <c r="A5" s="16" t="s">
        <v>2</v>
      </c>
      <c r="B5" s="16" t="s">
        <v>3</v>
      </c>
      <c r="C5" s="12" t="s">
        <v>8</v>
      </c>
      <c r="D5" s="13"/>
      <c r="E5" s="13"/>
      <c r="F5" s="14"/>
    </row>
    <row r="6" spans="1:7">
      <c r="A6" s="17"/>
      <c r="B6" s="17"/>
      <c r="C6" s="1" t="s">
        <v>4</v>
      </c>
      <c r="D6" s="2" t="s">
        <v>5</v>
      </c>
      <c r="E6" s="2" t="s">
        <v>6</v>
      </c>
      <c r="F6" s="2" t="s">
        <v>7</v>
      </c>
    </row>
    <row r="7" spans="1:7">
      <c r="A7" s="2">
        <v>1</v>
      </c>
      <c r="B7" s="4" t="s">
        <v>9</v>
      </c>
      <c r="C7" s="5">
        <f>D7+E7+F7</f>
        <v>1129905</v>
      </c>
      <c r="D7" s="5">
        <v>332920</v>
      </c>
      <c r="E7" s="5">
        <v>464065</v>
      </c>
      <c r="F7" s="5">
        <v>332920</v>
      </c>
      <c r="G7" s="6"/>
    </row>
    <row r="8" spans="1:7">
      <c r="A8" s="2">
        <v>2</v>
      </c>
      <c r="B8" s="4" t="s">
        <v>10</v>
      </c>
      <c r="C8" s="5">
        <f>D8+E8+F8</f>
        <v>2543370</v>
      </c>
      <c r="D8" s="5">
        <f>568320+90000+45920+23550+120000</f>
        <v>847790</v>
      </c>
      <c r="E8" s="5">
        <v>847790</v>
      </c>
      <c r="F8" s="5">
        <v>847790</v>
      </c>
    </row>
    <row r="9" spans="1:7">
      <c r="A9" s="2">
        <v>3</v>
      </c>
      <c r="B9" s="4" t="s">
        <v>11</v>
      </c>
      <c r="C9" s="5">
        <f t="shared" ref="C9:C18" si="0">D9+E9+F9</f>
        <v>252630</v>
      </c>
      <c r="D9" s="5">
        <f>44830+39380</f>
        <v>84210</v>
      </c>
      <c r="E9" s="5">
        <v>84210</v>
      </c>
      <c r="F9" s="5">
        <v>84210</v>
      </c>
    </row>
    <row r="10" spans="1:7">
      <c r="A10" s="2">
        <v>4</v>
      </c>
      <c r="B10" s="4" t="s">
        <v>12</v>
      </c>
      <c r="C10" s="5">
        <f t="shared" si="0"/>
        <v>150000</v>
      </c>
      <c r="D10" s="5">
        <f>40000+10000</f>
        <v>50000</v>
      </c>
      <c r="E10" s="5">
        <v>50000</v>
      </c>
      <c r="F10" s="5">
        <v>50000</v>
      </c>
    </row>
    <row r="11" spans="1:7">
      <c r="A11" s="2">
        <v>5</v>
      </c>
      <c r="B11" s="4" t="s">
        <v>13</v>
      </c>
      <c r="C11" s="5">
        <f t="shared" si="0"/>
        <v>287000</v>
      </c>
      <c r="D11" s="5">
        <f>10500+45000+3000+5000+21000</f>
        <v>84500</v>
      </c>
      <c r="E11" s="5">
        <f>19000+45000+3000+5000+21000</f>
        <v>93000</v>
      </c>
      <c r="F11" s="5">
        <f>10500+68000+5000+5000+21000</f>
        <v>109500</v>
      </c>
    </row>
    <row r="12" spans="1:7">
      <c r="A12" s="2">
        <v>6</v>
      </c>
      <c r="B12" s="4" t="s">
        <v>14</v>
      </c>
      <c r="C12" s="5">
        <f t="shared" si="0"/>
        <v>1077000</v>
      </c>
      <c r="D12" s="5">
        <f>58800+18000+141000+22600+27000</f>
        <v>267400</v>
      </c>
      <c r="E12" s="5">
        <f>108800+18000+215000+10000+27000</f>
        <v>378800</v>
      </c>
      <c r="F12" s="5">
        <f>148800+30000+210000+15000+27000</f>
        <v>430800</v>
      </c>
    </row>
    <row r="13" spans="1:7">
      <c r="A13" s="2">
        <v>7</v>
      </c>
      <c r="B13" s="4" t="s">
        <v>15</v>
      </c>
      <c r="C13" s="5">
        <f t="shared" si="0"/>
        <v>205000</v>
      </c>
      <c r="D13" s="5">
        <f>15000+20000+10000</f>
        <v>45000</v>
      </c>
      <c r="E13" s="5">
        <f>10000+5000+25000+15000+5000</f>
        <v>60000</v>
      </c>
      <c r="F13" s="5">
        <f>45000+3000+32000+20000</f>
        <v>100000</v>
      </c>
    </row>
    <row r="14" spans="1:7">
      <c r="A14" s="2">
        <v>8</v>
      </c>
      <c r="B14" s="4" t="s">
        <v>16</v>
      </c>
      <c r="C14" s="5">
        <f t="shared" si="0"/>
        <v>114000</v>
      </c>
      <c r="D14" s="5">
        <v>38000</v>
      </c>
      <c r="E14" s="5">
        <v>38000</v>
      </c>
      <c r="F14" s="5">
        <v>38000</v>
      </c>
    </row>
    <row r="15" spans="1:7">
      <c r="A15" s="2">
        <v>9</v>
      </c>
      <c r="B15" s="4" t="s">
        <v>17</v>
      </c>
      <c r="C15" s="5">
        <f t="shared" si="0"/>
        <v>0</v>
      </c>
      <c r="D15" s="5">
        <v>0</v>
      </c>
      <c r="E15" s="5">
        <v>0</v>
      </c>
      <c r="F15" s="5">
        <v>0</v>
      </c>
    </row>
    <row r="16" spans="1:7">
      <c r="A16" s="2">
        <v>10</v>
      </c>
      <c r="B16" s="4" t="s">
        <v>18</v>
      </c>
      <c r="C16" s="5">
        <f t="shared" si="0"/>
        <v>66000</v>
      </c>
      <c r="D16" s="5">
        <v>0</v>
      </c>
      <c r="E16" s="8">
        <f>22000+44000</f>
        <v>66000</v>
      </c>
      <c r="F16" s="5">
        <v>0</v>
      </c>
    </row>
    <row r="17" spans="1:7">
      <c r="A17" s="2">
        <v>11</v>
      </c>
      <c r="B17" s="4" t="s">
        <v>19</v>
      </c>
      <c r="C17" s="5">
        <f t="shared" si="0"/>
        <v>0</v>
      </c>
      <c r="D17" s="5">
        <v>0</v>
      </c>
      <c r="E17" s="5">
        <v>0</v>
      </c>
      <c r="F17" s="5">
        <v>0</v>
      </c>
    </row>
    <row r="18" spans="1:7">
      <c r="A18" s="12" t="s">
        <v>4</v>
      </c>
      <c r="B18" s="14"/>
      <c r="C18" s="5">
        <f t="shared" si="0"/>
        <v>4695000</v>
      </c>
      <c r="D18" s="5">
        <f>SUM(D8:D17)</f>
        <v>1416900</v>
      </c>
      <c r="E18" s="5">
        <f>SUM(E8:E17)</f>
        <v>1617800</v>
      </c>
      <c r="F18" s="5">
        <f>SUM(F8:F17)</f>
        <v>1660300</v>
      </c>
    </row>
    <row r="19" spans="1:7">
      <c r="A19" s="3" t="s">
        <v>20</v>
      </c>
    </row>
    <row r="20" spans="1:7">
      <c r="A20" s="3" t="s">
        <v>27</v>
      </c>
    </row>
    <row r="21" spans="1:7">
      <c r="A21" s="3" t="s">
        <v>27</v>
      </c>
    </row>
    <row r="22" spans="1:7">
      <c r="A22" s="3" t="s">
        <v>27</v>
      </c>
    </row>
    <row r="25" spans="1:7">
      <c r="A25" s="3" t="s">
        <v>28</v>
      </c>
      <c r="D25" s="3" t="s">
        <v>34</v>
      </c>
    </row>
    <row r="26" spans="1:7">
      <c r="A26" s="11" t="s">
        <v>41</v>
      </c>
      <c r="B26" s="11"/>
      <c r="C26" s="11"/>
      <c r="D26" s="3" t="s">
        <v>33</v>
      </c>
      <c r="G26" s="3">
        <f>902244+428850+2226500+1030600+295330</f>
        <v>4883524</v>
      </c>
    </row>
    <row r="27" spans="1:7">
      <c r="A27" s="3" t="s">
        <v>45</v>
      </c>
      <c r="D27" s="3" t="s">
        <v>38</v>
      </c>
    </row>
    <row r="28" spans="1:7">
      <c r="A28" s="3" t="s">
        <v>42</v>
      </c>
    </row>
    <row r="35" spans="2:2">
      <c r="B35" s="10">
        <f>813976+1376967+453090+312580+2466918</f>
        <v>5423531</v>
      </c>
    </row>
    <row r="36" spans="2:2">
      <c r="B36" s="3">
        <f>5423531-4902051</f>
        <v>521480</v>
      </c>
    </row>
  </sheetData>
  <mergeCells count="9">
    <mergeCell ref="A26:C26"/>
    <mergeCell ref="C5:F5"/>
    <mergeCell ref="A18:B18"/>
    <mergeCell ref="A1:F1"/>
    <mergeCell ref="A2:F2"/>
    <mergeCell ref="A3:F3"/>
    <mergeCell ref="A4:F4"/>
    <mergeCell ref="A5:A6"/>
    <mergeCell ref="B5:B6"/>
  </mergeCells>
  <phoneticPr fontId="2" type="noConversion"/>
  <pageMargins left="0.5" right="0.37" top="0.66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D13" sqref="D13"/>
    </sheetView>
  </sheetViews>
  <sheetFormatPr defaultRowHeight="23.25"/>
  <cols>
    <col min="1" max="1" width="6.85546875" style="3" customWidth="1"/>
    <col min="2" max="2" width="20.5703125" style="3" customWidth="1"/>
    <col min="3" max="3" width="12.7109375" style="3" customWidth="1"/>
    <col min="4" max="4" width="14.42578125" style="3" customWidth="1"/>
    <col min="5" max="5" width="16.42578125" style="3" customWidth="1"/>
    <col min="6" max="6" width="14.85546875" style="3" customWidth="1"/>
    <col min="7" max="7" width="14" style="3" customWidth="1"/>
    <col min="8" max="16384" width="9.140625" style="3"/>
  </cols>
  <sheetData>
    <row r="1" spans="1:6">
      <c r="A1" s="15" t="s">
        <v>0</v>
      </c>
      <c r="B1" s="15"/>
      <c r="C1" s="15"/>
      <c r="D1" s="15"/>
      <c r="E1" s="15"/>
      <c r="F1" s="15"/>
    </row>
    <row r="2" spans="1:6">
      <c r="A2" s="15" t="s">
        <v>1</v>
      </c>
      <c r="B2" s="15"/>
      <c r="C2" s="15"/>
      <c r="D2" s="15"/>
      <c r="E2" s="15"/>
      <c r="F2" s="15"/>
    </row>
    <row r="3" spans="1:6">
      <c r="A3" s="15" t="s">
        <v>46</v>
      </c>
      <c r="B3" s="15"/>
      <c r="C3" s="15"/>
      <c r="D3" s="15"/>
      <c r="E3" s="15"/>
      <c r="F3" s="15"/>
    </row>
    <row r="4" spans="1:6">
      <c r="A4" s="15" t="s">
        <v>48</v>
      </c>
      <c r="B4" s="15"/>
      <c r="C4" s="15"/>
      <c r="D4" s="15"/>
      <c r="E4" s="15"/>
      <c r="F4" s="15"/>
    </row>
    <row r="5" spans="1:6">
      <c r="A5" s="16" t="s">
        <v>36</v>
      </c>
      <c r="B5" s="16" t="s">
        <v>3</v>
      </c>
      <c r="C5" s="12" t="s">
        <v>8</v>
      </c>
      <c r="D5" s="13"/>
      <c r="E5" s="13"/>
      <c r="F5" s="14"/>
    </row>
    <row r="6" spans="1:6">
      <c r="A6" s="17"/>
      <c r="B6" s="17"/>
      <c r="C6" s="1" t="s">
        <v>4</v>
      </c>
      <c r="D6" s="2" t="s">
        <v>25</v>
      </c>
      <c r="E6" s="2" t="s">
        <v>32</v>
      </c>
      <c r="F6" s="2" t="s">
        <v>26</v>
      </c>
    </row>
    <row r="7" spans="1:6">
      <c r="A7" s="2">
        <v>1</v>
      </c>
      <c r="B7" s="4" t="s">
        <v>9</v>
      </c>
      <c r="C7" s="5">
        <f t="shared" ref="C7:C17" si="0">D7+E7+F7</f>
        <v>1378394</v>
      </c>
      <c r="D7" s="5">
        <v>335920</v>
      </c>
      <c r="E7" s="5">
        <v>709554</v>
      </c>
      <c r="F7" s="5">
        <v>332920</v>
      </c>
    </row>
    <row r="8" spans="1:6">
      <c r="A8" s="2">
        <v>2</v>
      </c>
      <c r="B8" s="4" t="s">
        <v>10</v>
      </c>
      <c r="C8" s="5">
        <f t="shared" si="0"/>
        <v>2561130</v>
      </c>
      <c r="D8" s="5">
        <f>568320+24470+45920+95000+120000</f>
        <v>853710</v>
      </c>
      <c r="E8" s="5">
        <v>853710</v>
      </c>
      <c r="F8" s="5">
        <v>853710</v>
      </c>
    </row>
    <row r="9" spans="1:6">
      <c r="A9" s="2">
        <v>3</v>
      </c>
      <c r="B9" s="4" t="s">
        <v>11</v>
      </c>
      <c r="C9" s="5">
        <f t="shared" si="0"/>
        <v>245150</v>
      </c>
      <c r="D9" s="5">
        <f>44830+39380</f>
        <v>84210</v>
      </c>
      <c r="E9" s="5">
        <v>80470</v>
      </c>
      <c r="F9" s="5">
        <v>80470</v>
      </c>
    </row>
    <row r="10" spans="1:6">
      <c r="A10" s="2">
        <v>4</v>
      </c>
      <c r="B10" s="4" t="s">
        <v>12</v>
      </c>
      <c r="C10" s="5">
        <f t="shared" si="0"/>
        <v>120000</v>
      </c>
      <c r="D10" s="5">
        <f>40000</f>
        <v>40000</v>
      </c>
      <c r="E10" s="5">
        <v>40000</v>
      </c>
      <c r="F10" s="5">
        <v>40000</v>
      </c>
    </row>
    <row r="11" spans="1:6">
      <c r="A11" s="2">
        <v>5</v>
      </c>
      <c r="B11" s="4" t="s">
        <v>13</v>
      </c>
      <c r="C11" s="5">
        <f t="shared" si="0"/>
        <v>317700</v>
      </c>
      <c r="D11" s="5">
        <f>19000+45000+3000+5000+21000</f>
        <v>93000</v>
      </c>
      <c r="E11" s="5">
        <f>10500+46700+4000+5000+21000</f>
        <v>87200</v>
      </c>
      <c r="F11" s="5">
        <f>60500+45000+6000+5000+21000</f>
        <v>137500</v>
      </c>
    </row>
    <row r="12" spans="1:6">
      <c r="A12" s="2">
        <v>6</v>
      </c>
      <c r="B12" s="4" t="s">
        <v>14</v>
      </c>
      <c r="C12" s="5">
        <f t="shared" si="0"/>
        <v>1995900</v>
      </c>
      <c r="D12" s="5">
        <f>152800+18000+213000+5000+30000</f>
        <v>418800</v>
      </c>
      <c r="E12" s="5">
        <f>492300+18000+197000+15000+27000</f>
        <v>749300</v>
      </c>
      <c r="F12" s="5">
        <f>517800+18000+250000+15000+27000</f>
        <v>827800</v>
      </c>
    </row>
    <row r="13" spans="1:6">
      <c r="A13" s="2">
        <v>7</v>
      </c>
      <c r="B13" s="4" t="s">
        <v>15</v>
      </c>
      <c r="C13" s="5">
        <f t="shared" si="0"/>
        <v>389000</v>
      </c>
      <c r="D13" s="5">
        <f>90000+20000+24000+15000+25000</f>
        <v>174000</v>
      </c>
      <c r="E13" s="5">
        <f>25000+15000+32000+15000+15000</f>
        <v>102000</v>
      </c>
      <c r="F13" s="5">
        <f>35000+10000+28000+15000+25000</f>
        <v>113000</v>
      </c>
    </row>
    <row r="14" spans="1:6">
      <c r="A14" s="2">
        <v>8</v>
      </c>
      <c r="B14" s="4" t="s">
        <v>16</v>
      </c>
      <c r="C14" s="5">
        <f t="shared" si="0"/>
        <v>114000</v>
      </c>
      <c r="D14" s="5">
        <v>38000</v>
      </c>
      <c r="E14" s="5">
        <v>38000</v>
      </c>
      <c r="F14" s="5">
        <v>38000</v>
      </c>
    </row>
    <row r="15" spans="1:6">
      <c r="A15" s="2">
        <v>9</v>
      </c>
      <c r="B15" s="4" t="s">
        <v>17</v>
      </c>
      <c r="C15" s="5">
        <f t="shared" si="0"/>
        <v>0</v>
      </c>
      <c r="D15" s="5"/>
      <c r="E15" s="5">
        <v>0</v>
      </c>
      <c r="F15" s="5">
        <v>0</v>
      </c>
    </row>
    <row r="16" spans="1:6">
      <c r="A16" s="2">
        <v>10</v>
      </c>
      <c r="B16" s="4" t="s">
        <v>18</v>
      </c>
      <c r="C16" s="5">
        <f t="shared" si="0"/>
        <v>52300</v>
      </c>
      <c r="D16" s="5">
        <f>24800</f>
        <v>24800</v>
      </c>
      <c r="E16" s="5">
        <f>27500</f>
        <v>27500</v>
      </c>
      <c r="F16" s="5">
        <v>0</v>
      </c>
    </row>
    <row r="17" spans="1:7">
      <c r="A17" s="2">
        <v>11</v>
      </c>
      <c r="B17" s="4" t="s">
        <v>19</v>
      </c>
      <c r="C17" s="5">
        <f t="shared" si="0"/>
        <v>50000</v>
      </c>
      <c r="D17" s="5">
        <v>0</v>
      </c>
      <c r="E17" s="5">
        <v>0</v>
      </c>
      <c r="F17" s="5">
        <v>50000</v>
      </c>
    </row>
    <row r="18" spans="1:7">
      <c r="A18" s="12" t="s">
        <v>4</v>
      </c>
      <c r="B18" s="14"/>
      <c r="C18" s="5">
        <f>SUM(C7:C17)</f>
        <v>7223574</v>
      </c>
      <c r="D18" s="5">
        <f>SUM(D7:D17)</f>
        <v>2062440</v>
      </c>
      <c r="E18" s="5">
        <f>SUM(E7:E17)</f>
        <v>2687734</v>
      </c>
      <c r="F18" s="5">
        <f>SUM(F7:F17)</f>
        <v>2473400</v>
      </c>
    </row>
    <row r="19" spans="1:7">
      <c r="A19" s="3" t="s">
        <v>20</v>
      </c>
    </row>
    <row r="20" spans="1:7">
      <c r="A20" s="3" t="s">
        <v>27</v>
      </c>
      <c r="G20" s="3">
        <f>325330+368950+2906500+523850+4563542</f>
        <v>8688172</v>
      </c>
    </row>
    <row r="21" spans="1:7">
      <c r="A21" s="3" t="s">
        <v>27</v>
      </c>
    </row>
    <row r="22" spans="1:7">
      <c r="A22" s="3" t="s">
        <v>27</v>
      </c>
    </row>
    <row r="25" spans="1:7">
      <c r="A25" s="3" t="s">
        <v>40</v>
      </c>
      <c r="D25" s="3" t="s">
        <v>34</v>
      </c>
    </row>
    <row r="26" spans="1:7">
      <c r="A26" s="15" t="s">
        <v>39</v>
      </c>
      <c r="B26" s="15"/>
      <c r="C26" s="15"/>
      <c r="D26" s="3" t="s">
        <v>35</v>
      </c>
    </row>
    <row r="27" spans="1:7">
      <c r="A27" s="3" t="s">
        <v>45</v>
      </c>
      <c r="D27" s="3" t="s">
        <v>38</v>
      </c>
    </row>
    <row r="28" spans="1:7">
      <c r="A28" s="3" t="s">
        <v>37</v>
      </c>
    </row>
    <row r="33" spans="2:2">
      <c r="B33" s="3">
        <f>202375+147600+22000+691161.9+72000</f>
        <v>1135136.8999999999</v>
      </c>
    </row>
    <row r="34" spans="2:2">
      <c r="B34" s="3">
        <f>35000+35000+35000</f>
        <v>105000</v>
      </c>
    </row>
    <row r="35" spans="2:2">
      <c r="B35" s="3">
        <f>867897.4+533600+409000+3247315+1224196</f>
        <v>6282008.4000000004</v>
      </c>
    </row>
    <row r="37" spans="2:2">
      <c r="B37" s="3">
        <f>691616</f>
        <v>691616</v>
      </c>
    </row>
    <row r="38" spans="2:2">
      <c r="B38" s="3">
        <f>691616.9+105000+22000+147600+202375</f>
        <v>1168591.8999999999</v>
      </c>
    </row>
    <row r="40" spans="2:2">
      <c r="B40" s="3">
        <f>1224196+3247315+409000+533600+868352.4</f>
        <v>6282463.4000000004</v>
      </c>
    </row>
  </sheetData>
  <mergeCells count="9">
    <mergeCell ref="A26:C26"/>
    <mergeCell ref="C5:F5"/>
    <mergeCell ref="A18:B18"/>
    <mergeCell ref="A1:F1"/>
    <mergeCell ref="A2:F2"/>
    <mergeCell ref="A3:F3"/>
    <mergeCell ref="A4:F4"/>
    <mergeCell ref="A5:A6"/>
    <mergeCell ref="B5:B6"/>
  </mergeCells>
  <phoneticPr fontId="2" type="noConversion"/>
  <pageMargins left="0.86" right="0.26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D10" sqref="D10"/>
    </sheetView>
  </sheetViews>
  <sheetFormatPr defaultRowHeight="23.25"/>
  <cols>
    <col min="1" max="1" width="6.85546875" style="3" customWidth="1"/>
    <col min="2" max="2" width="20.5703125" style="3" customWidth="1"/>
    <col min="3" max="3" width="12.7109375" style="3" customWidth="1"/>
    <col min="4" max="4" width="14.42578125" style="3" customWidth="1"/>
    <col min="5" max="5" width="16.42578125" style="3" customWidth="1"/>
    <col min="6" max="6" width="14.85546875" style="3" customWidth="1"/>
    <col min="7" max="7" width="14" style="3" customWidth="1"/>
    <col min="8" max="16384" width="9.140625" style="3"/>
  </cols>
  <sheetData>
    <row r="1" spans="1:6">
      <c r="A1" s="15" t="s">
        <v>0</v>
      </c>
      <c r="B1" s="15"/>
      <c r="C1" s="15"/>
      <c r="D1" s="15"/>
      <c r="E1" s="15"/>
      <c r="F1" s="15"/>
    </row>
    <row r="2" spans="1:6">
      <c r="A2" s="15" t="s">
        <v>1</v>
      </c>
      <c r="B2" s="15"/>
      <c r="C2" s="15"/>
      <c r="D2" s="15"/>
      <c r="E2" s="15"/>
      <c r="F2" s="15"/>
    </row>
    <row r="3" spans="1:6">
      <c r="A3" s="15" t="s">
        <v>46</v>
      </c>
      <c r="B3" s="15"/>
      <c r="C3" s="15"/>
      <c r="D3" s="15"/>
      <c r="E3" s="15"/>
      <c r="F3" s="15"/>
    </row>
    <row r="4" spans="1:6">
      <c r="A4" s="15" t="s">
        <v>49</v>
      </c>
      <c r="B4" s="15"/>
      <c r="C4" s="15"/>
      <c r="D4" s="15"/>
      <c r="E4" s="15"/>
      <c r="F4" s="15"/>
    </row>
    <row r="5" spans="1:6">
      <c r="A5" s="16" t="s">
        <v>2</v>
      </c>
      <c r="B5" s="16" t="s">
        <v>3</v>
      </c>
      <c r="C5" s="12" t="s">
        <v>8</v>
      </c>
      <c r="D5" s="13"/>
      <c r="E5" s="13"/>
      <c r="F5" s="14"/>
    </row>
    <row r="6" spans="1:6">
      <c r="A6" s="17"/>
      <c r="B6" s="17"/>
      <c r="C6" s="1" t="s">
        <v>4</v>
      </c>
      <c r="D6" s="2" t="s">
        <v>22</v>
      </c>
      <c r="E6" s="2" t="s">
        <v>23</v>
      </c>
      <c r="F6" s="2" t="s">
        <v>24</v>
      </c>
    </row>
    <row r="7" spans="1:6">
      <c r="A7" s="2">
        <v>1</v>
      </c>
      <c r="B7" s="4" t="s">
        <v>9</v>
      </c>
      <c r="C7" s="5">
        <f t="shared" ref="C7:C17" si="0">D7+E7+F7</f>
        <v>1198760</v>
      </c>
      <c r="D7" s="5">
        <v>332920</v>
      </c>
      <c r="E7" s="5">
        <v>332920</v>
      </c>
      <c r="F7" s="5">
        <v>532920</v>
      </c>
    </row>
    <row r="8" spans="1:6">
      <c r="A8" s="2">
        <v>2</v>
      </c>
      <c r="B8" s="4" t="s">
        <v>10</v>
      </c>
      <c r="C8" s="5">
        <f t="shared" si="0"/>
        <v>2747370</v>
      </c>
      <c r="D8" s="5">
        <f>624900+24970+45920+95000+125000</f>
        <v>915790</v>
      </c>
      <c r="E8" s="5">
        <v>915790</v>
      </c>
      <c r="F8" s="5">
        <v>915790</v>
      </c>
    </row>
    <row r="9" spans="1:6">
      <c r="A9" s="2">
        <v>3</v>
      </c>
      <c r="B9" s="4" t="s">
        <v>11</v>
      </c>
      <c r="C9" s="5">
        <f t="shared" si="0"/>
        <v>254880</v>
      </c>
      <c r="D9" s="5">
        <f>45580+39380</f>
        <v>84960</v>
      </c>
      <c r="E9" s="5">
        <v>84960</v>
      </c>
      <c r="F9" s="5">
        <v>84960</v>
      </c>
    </row>
    <row r="10" spans="1:6">
      <c r="A10" s="2">
        <v>4</v>
      </c>
      <c r="B10" s="4" t="s">
        <v>12</v>
      </c>
      <c r="C10" s="5">
        <f t="shared" si="0"/>
        <v>120000</v>
      </c>
      <c r="D10" s="5">
        <v>40000</v>
      </c>
      <c r="E10" s="5">
        <v>40000</v>
      </c>
      <c r="F10" s="5">
        <v>40000</v>
      </c>
    </row>
    <row r="11" spans="1:6">
      <c r="A11" s="2">
        <v>5</v>
      </c>
      <c r="B11" s="4" t="s">
        <v>13</v>
      </c>
      <c r="C11" s="5">
        <f t="shared" si="0"/>
        <v>311900</v>
      </c>
      <c r="D11" s="5">
        <f>18500+45000+5500+5000+21000</f>
        <v>95000</v>
      </c>
      <c r="E11" s="5">
        <f>10500+47400+5000+5000+21000</f>
        <v>88900</v>
      </c>
      <c r="F11" s="5">
        <f>20500+75000+6500+5000+21000</f>
        <v>128000</v>
      </c>
    </row>
    <row r="12" spans="1:6">
      <c r="A12" s="2">
        <v>6</v>
      </c>
      <c r="B12" s="4" t="s">
        <v>14</v>
      </c>
      <c r="C12" s="5">
        <f t="shared" si="0"/>
        <v>2150500</v>
      </c>
      <c r="D12" s="5">
        <f>224800+97400+191000+10000+30000</f>
        <v>553200</v>
      </c>
      <c r="E12" s="5">
        <f>237800+18000+286000+10000+30000</f>
        <v>581800</v>
      </c>
      <c r="F12" s="5">
        <f>756500+18000+201000+10000+30000</f>
        <v>1015500</v>
      </c>
    </row>
    <row r="13" spans="1:6">
      <c r="A13" s="2">
        <v>7</v>
      </c>
      <c r="B13" s="4" t="s">
        <v>15</v>
      </c>
      <c r="C13" s="5">
        <f t="shared" si="0"/>
        <v>469000</v>
      </c>
      <c r="D13" s="5">
        <f>89000+30000+43000+15000+25000</f>
        <v>202000</v>
      </c>
      <c r="E13" s="5">
        <f>27000+76000+25000+5000</f>
        <v>133000</v>
      </c>
      <c r="F13" s="5">
        <f>26000+68000+15000+25000</f>
        <v>134000</v>
      </c>
    </row>
    <row r="14" spans="1:6">
      <c r="A14" s="2">
        <v>8</v>
      </c>
      <c r="B14" s="4" t="s">
        <v>16</v>
      </c>
      <c r="C14" s="5">
        <f t="shared" si="0"/>
        <v>114500</v>
      </c>
      <c r="D14" s="5">
        <v>38000</v>
      </c>
      <c r="E14" s="5">
        <v>38000</v>
      </c>
      <c r="F14" s="5">
        <v>38500</v>
      </c>
    </row>
    <row r="15" spans="1:6">
      <c r="A15" s="2">
        <v>9</v>
      </c>
      <c r="B15" s="4" t="s">
        <v>17</v>
      </c>
      <c r="C15" s="5">
        <f t="shared" si="0"/>
        <v>0</v>
      </c>
      <c r="D15" s="5"/>
      <c r="E15" s="5"/>
      <c r="F15" s="5">
        <v>0</v>
      </c>
    </row>
    <row r="16" spans="1:6">
      <c r="A16" s="2">
        <v>10</v>
      </c>
      <c r="B16" s="4" t="s">
        <v>18</v>
      </c>
      <c r="C16" s="5">
        <f t="shared" si="0"/>
        <v>0</v>
      </c>
      <c r="D16" s="5">
        <v>0</v>
      </c>
      <c r="E16" s="5">
        <v>0</v>
      </c>
      <c r="F16" s="5">
        <v>0</v>
      </c>
    </row>
    <row r="17" spans="1:7">
      <c r="A17" s="2">
        <v>11</v>
      </c>
      <c r="B17" s="4" t="s">
        <v>19</v>
      </c>
      <c r="C17" s="5">
        <f t="shared" si="0"/>
        <v>0</v>
      </c>
      <c r="D17" s="5">
        <v>0</v>
      </c>
      <c r="E17" s="5">
        <v>0</v>
      </c>
      <c r="F17" s="5">
        <v>0</v>
      </c>
    </row>
    <row r="18" spans="1:7">
      <c r="A18" s="12" t="s">
        <v>4</v>
      </c>
      <c r="B18" s="14"/>
      <c r="C18" s="5">
        <f>SUM(C7:C17)</f>
        <v>7366910</v>
      </c>
      <c r="D18" s="5">
        <f>SUM(D7:D17)</f>
        <v>2261870</v>
      </c>
      <c r="E18" s="5">
        <f>SUM(E7:E17)</f>
        <v>2215370</v>
      </c>
      <c r="F18" s="5">
        <f>SUM(F7:F17)</f>
        <v>2889670</v>
      </c>
    </row>
    <row r="19" spans="1:7">
      <c r="A19" s="3" t="s">
        <v>20</v>
      </c>
    </row>
    <row r="20" spans="1:7">
      <c r="A20" s="3" t="s">
        <v>27</v>
      </c>
      <c r="G20" s="3">
        <f>1140817+1405230+2419390+1286500+694460</f>
        <v>6946397</v>
      </c>
    </row>
    <row r="21" spans="1:7">
      <c r="A21" s="3" t="s">
        <v>27</v>
      </c>
      <c r="G21" s="9"/>
    </row>
    <row r="22" spans="1:7">
      <c r="A22" s="3" t="s">
        <v>27</v>
      </c>
    </row>
    <row r="25" spans="1:7">
      <c r="A25" s="3" t="s">
        <v>43</v>
      </c>
      <c r="D25" s="3" t="s">
        <v>34</v>
      </c>
    </row>
    <row r="26" spans="1:7">
      <c r="A26" s="11" t="s">
        <v>44</v>
      </c>
      <c r="B26" s="11"/>
      <c r="C26" s="11"/>
      <c r="D26" s="3" t="s">
        <v>35</v>
      </c>
    </row>
    <row r="27" spans="1:7">
      <c r="A27" s="3" t="s">
        <v>45</v>
      </c>
      <c r="D27" s="3" t="s">
        <v>38</v>
      </c>
    </row>
    <row r="28" spans="1:7">
      <c r="A28" s="3" t="s">
        <v>37</v>
      </c>
    </row>
    <row r="31" spans="1:7">
      <c r="G31" s="9"/>
    </row>
    <row r="33" spans="2:3">
      <c r="B33" s="3">
        <f>890547+2154378+1607047+303080+796500</f>
        <v>5751552</v>
      </c>
      <c r="C33" s="3">
        <f>2154378+305080+937422+1607047+796500</f>
        <v>5800427</v>
      </c>
    </row>
    <row r="34" spans="2:3">
      <c r="B34" s="3">
        <f>5800427-5751552</f>
        <v>48875</v>
      </c>
    </row>
  </sheetData>
  <mergeCells count="9">
    <mergeCell ref="A26:C26"/>
    <mergeCell ref="C5:F5"/>
    <mergeCell ref="A18:B18"/>
    <mergeCell ref="A1:F1"/>
    <mergeCell ref="A2:F2"/>
    <mergeCell ref="A3:F3"/>
    <mergeCell ref="A4:F4"/>
    <mergeCell ref="A5:A6"/>
    <mergeCell ref="B5:B6"/>
  </mergeCells>
  <phoneticPr fontId="2" type="noConversion"/>
  <pageMargins left="0.93" right="0.37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D8" sqref="D8"/>
    </sheetView>
  </sheetViews>
  <sheetFormatPr defaultRowHeight="23.25"/>
  <cols>
    <col min="1" max="1" width="7.140625" style="3" customWidth="1"/>
    <col min="2" max="2" width="20" style="3" customWidth="1"/>
    <col min="3" max="3" width="13.140625" style="3" customWidth="1"/>
    <col min="4" max="4" width="14.140625" style="3" customWidth="1"/>
    <col min="5" max="5" width="13.85546875" style="3" customWidth="1"/>
    <col min="6" max="6" width="14.42578125" style="3" customWidth="1"/>
    <col min="7" max="7" width="16.28515625" style="3" customWidth="1"/>
    <col min="8" max="16384" width="9.140625" style="3"/>
  </cols>
  <sheetData>
    <row r="1" spans="1:6">
      <c r="A1" s="15" t="s">
        <v>0</v>
      </c>
      <c r="B1" s="15"/>
      <c r="C1" s="15"/>
      <c r="D1" s="15"/>
      <c r="E1" s="15"/>
      <c r="F1" s="15"/>
    </row>
    <row r="2" spans="1:6">
      <c r="A2" s="15" t="s">
        <v>1</v>
      </c>
      <c r="B2" s="15"/>
      <c r="C2" s="15"/>
      <c r="D2" s="15"/>
      <c r="E2" s="15"/>
      <c r="F2" s="15"/>
    </row>
    <row r="3" spans="1:6">
      <c r="A3" s="15" t="s">
        <v>46</v>
      </c>
      <c r="B3" s="15"/>
      <c r="C3" s="15"/>
      <c r="D3" s="15"/>
      <c r="E3" s="15"/>
      <c r="F3" s="15"/>
    </row>
    <row r="4" spans="1:6">
      <c r="A4" s="15" t="s">
        <v>50</v>
      </c>
      <c r="B4" s="15"/>
      <c r="C4" s="15"/>
      <c r="D4" s="15"/>
      <c r="E4" s="15"/>
      <c r="F4" s="15"/>
    </row>
    <row r="5" spans="1:6">
      <c r="A5" s="16" t="s">
        <v>2</v>
      </c>
      <c r="B5" s="16" t="s">
        <v>3</v>
      </c>
      <c r="C5" s="12" t="s">
        <v>8</v>
      </c>
      <c r="D5" s="13"/>
      <c r="E5" s="13"/>
      <c r="F5" s="14"/>
    </row>
    <row r="6" spans="1:6">
      <c r="A6" s="17"/>
      <c r="B6" s="17"/>
      <c r="C6" s="1" t="s">
        <v>4</v>
      </c>
      <c r="D6" s="2" t="s">
        <v>29</v>
      </c>
      <c r="E6" s="2" t="s">
        <v>30</v>
      </c>
      <c r="F6" s="2" t="s">
        <v>31</v>
      </c>
    </row>
    <row r="7" spans="1:6">
      <c r="A7" s="2">
        <v>1</v>
      </c>
      <c r="B7" s="4" t="s">
        <v>9</v>
      </c>
      <c r="C7" s="5">
        <f t="shared" ref="C7:C17" si="0">D7+E7+F7</f>
        <v>1098775</v>
      </c>
      <c r="D7" s="5">
        <v>432875</v>
      </c>
      <c r="E7" s="5">
        <v>332920</v>
      </c>
      <c r="F7" s="5">
        <v>332980</v>
      </c>
    </row>
    <row r="8" spans="1:6">
      <c r="A8" s="2">
        <v>2</v>
      </c>
      <c r="B8" s="4" t="s">
        <v>10</v>
      </c>
      <c r="C8" s="5">
        <f t="shared" si="0"/>
        <v>2747370</v>
      </c>
      <c r="D8" s="5">
        <f>624900+24970+45920+95000+125000</f>
        <v>915790</v>
      </c>
      <c r="E8" s="5">
        <v>915790</v>
      </c>
      <c r="F8" s="5">
        <v>915790</v>
      </c>
    </row>
    <row r="9" spans="1:6">
      <c r="A9" s="2">
        <v>3</v>
      </c>
      <c r="B9" s="4" t="s">
        <v>11</v>
      </c>
      <c r="C9" s="5">
        <f t="shared" si="0"/>
        <v>254880</v>
      </c>
      <c r="D9" s="5">
        <f>45580+39380</f>
        <v>84960</v>
      </c>
      <c r="E9" s="5">
        <v>84960</v>
      </c>
      <c r="F9" s="5">
        <v>84960</v>
      </c>
    </row>
    <row r="10" spans="1:6">
      <c r="A10" s="2">
        <v>4</v>
      </c>
      <c r="B10" s="4" t="s">
        <v>12</v>
      </c>
      <c r="C10" s="5">
        <f t="shared" si="0"/>
        <v>120000</v>
      </c>
      <c r="D10" s="5">
        <v>40000</v>
      </c>
      <c r="E10" s="5">
        <v>40000</v>
      </c>
      <c r="F10" s="5">
        <v>40000</v>
      </c>
    </row>
    <row r="11" spans="1:6">
      <c r="A11" s="2">
        <v>5</v>
      </c>
      <c r="B11" s="4" t="s">
        <v>13</v>
      </c>
      <c r="C11" s="5">
        <f t="shared" si="0"/>
        <v>323400</v>
      </c>
      <c r="D11" s="5">
        <f>10500+47400+6500+5000+21000</f>
        <v>90400</v>
      </c>
      <c r="E11" s="5">
        <f>10500+45000+4500+5000+21000</f>
        <v>86000</v>
      </c>
      <c r="F11" s="5">
        <f>68500+45000+7500+5000+21000</f>
        <v>147000</v>
      </c>
    </row>
    <row r="12" spans="1:6">
      <c r="A12" s="2">
        <v>6</v>
      </c>
      <c r="B12" s="4" t="s">
        <v>14</v>
      </c>
      <c r="C12" s="5">
        <f t="shared" si="0"/>
        <v>1417466</v>
      </c>
      <c r="D12" s="5">
        <f>184800+60000+258000+10000+30000</f>
        <v>542800</v>
      </c>
      <c r="E12" s="5">
        <f>186466+80000+261000+10000+30000</f>
        <v>567466</v>
      </c>
      <c r="F12" s="5">
        <f>62200+50000+155000+10000+30000</f>
        <v>307200</v>
      </c>
    </row>
    <row r="13" spans="1:6">
      <c r="A13" s="2">
        <v>7</v>
      </c>
      <c r="B13" s="4" t="s">
        <v>15</v>
      </c>
      <c r="C13" s="5">
        <f>D13+E13+F13</f>
        <v>563200</v>
      </c>
      <c r="D13" s="5">
        <f>131000+25000+61000+15000+25000</f>
        <v>257000</v>
      </c>
      <c r="E13" s="5">
        <f>17000+62200+25000+25000+15000</f>
        <v>144200</v>
      </c>
      <c r="F13" s="5">
        <f>50000+25000+42000+20000+25000</f>
        <v>162000</v>
      </c>
    </row>
    <row r="14" spans="1:6">
      <c r="A14" s="2">
        <v>8</v>
      </c>
      <c r="B14" s="4" t="s">
        <v>16</v>
      </c>
      <c r="C14" s="5">
        <f t="shared" si="0"/>
        <v>115500</v>
      </c>
      <c r="D14" s="5">
        <f>38500</f>
        <v>38500</v>
      </c>
      <c r="E14" s="5">
        <v>38500</v>
      </c>
      <c r="F14" s="5">
        <v>38500</v>
      </c>
    </row>
    <row r="15" spans="1:6">
      <c r="A15" s="2">
        <v>9</v>
      </c>
      <c r="B15" s="4" t="s">
        <v>17</v>
      </c>
      <c r="C15" s="7">
        <f>D15+E15+F15</f>
        <v>5000</v>
      </c>
      <c r="D15" s="7">
        <f>5000</f>
        <v>5000</v>
      </c>
      <c r="E15" s="5">
        <v>0</v>
      </c>
      <c r="F15" s="7">
        <v>0</v>
      </c>
    </row>
    <row r="16" spans="1:6">
      <c r="A16" s="2">
        <v>10</v>
      </c>
      <c r="B16" s="4" t="s">
        <v>18</v>
      </c>
      <c r="C16" s="7">
        <f t="shared" si="0"/>
        <v>0</v>
      </c>
      <c r="D16" s="7">
        <v>0</v>
      </c>
      <c r="E16" s="5">
        <v>0</v>
      </c>
      <c r="F16" s="5">
        <v>0</v>
      </c>
    </row>
    <row r="17" spans="1:7">
      <c r="A17" s="2">
        <v>11</v>
      </c>
      <c r="B17" s="4" t="s">
        <v>19</v>
      </c>
      <c r="C17" s="5">
        <f t="shared" si="0"/>
        <v>2432800</v>
      </c>
      <c r="D17" s="5">
        <f>96800+438000</f>
        <v>534800</v>
      </c>
      <c r="E17" s="5">
        <f>200000</f>
        <v>200000</v>
      </c>
      <c r="F17" s="5">
        <f>1698000</f>
        <v>1698000</v>
      </c>
    </row>
    <row r="18" spans="1:7">
      <c r="A18" s="12" t="s">
        <v>4</v>
      </c>
      <c r="B18" s="14"/>
      <c r="C18" s="5">
        <f>SUM(C7:C17)</f>
        <v>9078391</v>
      </c>
      <c r="D18" s="5">
        <f>SUM(D7:D17)</f>
        <v>2942125</v>
      </c>
      <c r="E18" s="5">
        <f>SUM(E7:E17)</f>
        <v>2409836</v>
      </c>
      <c r="F18" s="5">
        <f>SUM(F7:F17)</f>
        <v>3726430</v>
      </c>
    </row>
    <row r="19" spans="1:7">
      <c r="A19" s="3" t="s">
        <v>20</v>
      </c>
    </row>
    <row r="20" spans="1:7">
      <c r="A20" s="3" t="s">
        <v>21</v>
      </c>
    </row>
    <row r="21" spans="1:7">
      <c r="A21" s="3" t="s">
        <v>21</v>
      </c>
    </row>
    <row r="22" spans="1:7">
      <c r="A22" s="3" t="s">
        <v>21</v>
      </c>
    </row>
    <row r="25" spans="1:7">
      <c r="A25" s="3" t="s">
        <v>43</v>
      </c>
      <c r="D25" s="3" t="s">
        <v>34</v>
      </c>
      <c r="G25" s="9"/>
    </row>
    <row r="26" spans="1:7">
      <c r="A26" s="11" t="s">
        <v>44</v>
      </c>
      <c r="B26" s="11"/>
      <c r="C26" s="11"/>
      <c r="D26" s="3" t="s">
        <v>35</v>
      </c>
    </row>
    <row r="27" spans="1:7">
      <c r="A27" s="3" t="s">
        <v>45</v>
      </c>
      <c r="D27" s="3" t="s">
        <v>38</v>
      </c>
    </row>
    <row r="28" spans="1:7">
      <c r="A28" s="3" t="s">
        <v>37</v>
      </c>
      <c r="G28" s="10"/>
    </row>
    <row r="29" spans="1:7">
      <c r="G29" s="9"/>
    </row>
  </sheetData>
  <mergeCells count="9">
    <mergeCell ref="A26:C26"/>
    <mergeCell ref="C5:F5"/>
    <mergeCell ref="A18:B18"/>
    <mergeCell ref="A1:F1"/>
    <mergeCell ref="A2:F2"/>
    <mergeCell ref="A3:F3"/>
    <mergeCell ref="A4:F4"/>
    <mergeCell ref="A5:A6"/>
    <mergeCell ref="B5:B6"/>
  </mergeCells>
  <phoneticPr fontId="2" type="noConversion"/>
  <pageMargins left="0.97" right="0.3" top="0.7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ไตรมาสที่  1</vt:lpstr>
      <vt:lpstr>ไตรมาสที่ 2</vt:lpstr>
      <vt:lpstr>ไตรมาสที่ 3</vt:lpstr>
      <vt:lpstr>ไตรมาสที่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Sky123.Org</cp:lastModifiedBy>
  <cp:lastPrinted>2020-07-13T03:24:46Z</cp:lastPrinted>
  <dcterms:created xsi:type="dcterms:W3CDTF">2007-04-30T10:01:36Z</dcterms:created>
  <dcterms:modified xsi:type="dcterms:W3CDTF">2020-07-13T07:27:15Z</dcterms:modified>
</cp:coreProperties>
</file>